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thippolyte-my.sharepoint.com/personal/mmeunier_saint-hippolyte_ca/Documents/Bureau/Direction/Projet en cours/Parc Connelly/"/>
    </mc:Choice>
  </mc:AlternateContent>
  <xr:revisionPtr revIDLastSave="0" documentId="8_{D26C9511-6796-4946-9D51-F6B99A60EFE4}" xr6:coauthVersionLast="47" xr6:coauthVersionMax="47" xr10:uidLastSave="{00000000-0000-0000-0000-000000000000}"/>
  <bookViews>
    <workbookView xWindow="-96" yWindow="-96" windowWidth="23232" windowHeight="12432" xr2:uid="{297AB977-9D9F-460C-B8AD-0DCE8C7E52AC}"/>
  </bookViews>
  <sheets>
    <sheet name="Résumé des OPTIONS" sheetId="5" r:id="rId1"/>
    <sheet name="Feuil1" sheetId="1" r:id="rId2"/>
    <sheet name="Option 1" sheetId="2" r:id="rId3"/>
    <sheet name="Option 2" sheetId="3" r:id="rId4"/>
    <sheet name="Option 3" sheetId="4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5" i="5" l="1"/>
  <c r="C27" i="5" s="1"/>
  <c r="C30" i="5" s="1"/>
  <c r="C15" i="5"/>
  <c r="C37" i="5"/>
  <c r="C40" i="5" s="1"/>
  <c r="B49" i="1"/>
  <c r="C17" i="5"/>
  <c r="C20" i="5" s="1"/>
  <c r="B52" i="1"/>
  <c r="B18" i="4"/>
  <c r="B10" i="4"/>
  <c r="B24" i="3"/>
  <c r="B27" i="3" s="1"/>
  <c r="B17" i="3"/>
  <c r="B10" i="3"/>
  <c r="B4" i="4"/>
  <c r="B4" i="3"/>
  <c r="B26" i="4"/>
  <c r="B23" i="3"/>
  <c r="B54" i="1"/>
  <c r="B10" i="2"/>
  <c r="B51" i="1"/>
  <c r="B4" i="2"/>
  <c r="B59" i="1"/>
  <c r="B45" i="1" l="1"/>
  <c r="B46" i="1" s="1"/>
  <c r="B47" i="1" s="1"/>
  <c r="B30" i="1"/>
  <c r="B31" i="1" s="1"/>
  <c r="B32" i="1" s="1"/>
  <c r="B10" i="1"/>
  <c r="B11" i="1" s="1"/>
  <c r="B12" i="1" s="1"/>
  <c r="B50" i="1" l="1"/>
  <c r="B48" i="1"/>
  <c r="B34" i="1"/>
  <c r="B33" i="1"/>
  <c r="B35" i="1" s="1"/>
  <c r="B13" i="1"/>
  <c r="B15" i="1"/>
  <c r="B14" i="1"/>
  <c r="B36" i="1" l="1"/>
  <c r="B37" i="1" s="1"/>
  <c r="B16" i="1"/>
  <c r="B17" i="1" s="1"/>
  <c r="B56" i="1"/>
  <c r="B19" i="3" l="1"/>
  <c r="B19" i="4"/>
  <c r="B11" i="4"/>
  <c r="B11" i="3"/>
  <c r="B11" i="2"/>
</calcChain>
</file>

<file path=xl/sharedStrings.xml><?xml version="1.0" encoding="utf-8"?>
<sst xmlns="http://schemas.openxmlformats.org/spreadsheetml/2006/main" count="127" uniqueCount="63">
  <si>
    <t xml:space="preserve"> </t>
  </si>
  <si>
    <t>OPTION 1</t>
  </si>
  <si>
    <t>TOIT, GARAGE ET PARC</t>
  </si>
  <si>
    <t>Coûts estimés</t>
  </si>
  <si>
    <t>Financement</t>
  </si>
  <si>
    <t>Subvention</t>
  </si>
  <si>
    <t>Fonds de parcs</t>
  </si>
  <si>
    <t>Surplus</t>
  </si>
  <si>
    <t>Règlement d'emprunt</t>
  </si>
  <si>
    <t>OPTION 3</t>
  </si>
  <si>
    <t>PARC SEULEMENT</t>
  </si>
  <si>
    <t>GARAGE ET PARC</t>
  </si>
  <si>
    <t>OPTION 2</t>
  </si>
  <si>
    <t>Fonds de roulement</t>
  </si>
  <si>
    <t>Préau</t>
  </si>
  <si>
    <t>Fondations</t>
  </si>
  <si>
    <t>Structure (installée)</t>
  </si>
  <si>
    <t>Lattes de bois pare-soleil</t>
  </si>
  <si>
    <t>Électricité</t>
  </si>
  <si>
    <t>Asphalte, préparation de la surface &amp; paysagement</t>
  </si>
  <si>
    <t>Sous-Total préau</t>
  </si>
  <si>
    <t>Contingences d'estimation (5%)</t>
  </si>
  <si>
    <t>Frais généraux - mobilisation- assurances- cautionnements (10%)</t>
  </si>
  <si>
    <t>Administration et profit (15%)</t>
  </si>
  <si>
    <t>Total garage</t>
  </si>
  <si>
    <t xml:space="preserve">Taxes nettes </t>
  </si>
  <si>
    <t>TOTAL</t>
  </si>
  <si>
    <t>Garage</t>
  </si>
  <si>
    <t>Structure &amp; finition extérieure</t>
  </si>
  <si>
    <t>Intérieur, portes, peinture…</t>
  </si>
  <si>
    <t>Plomberie</t>
  </si>
  <si>
    <t>CVAC</t>
  </si>
  <si>
    <t>Services mécaniques</t>
  </si>
  <si>
    <t>Aménagement paysager</t>
  </si>
  <si>
    <t>Sous-Total - Garage</t>
  </si>
  <si>
    <t>Total Garage</t>
  </si>
  <si>
    <t>Taxes nettes</t>
  </si>
  <si>
    <t>Skatepark</t>
  </si>
  <si>
    <t>Modules jeux et skate</t>
  </si>
  <si>
    <t>Mobilier urbain</t>
  </si>
  <si>
    <t>Aménagement paysager/stationnement</t>
  </si>
  <si>
    <t>Travaux civil</t>
  </si>
  <si>
    <t>Électricité/éclairage</t>
  </si>
  <si>
    <t>Total Skatepark</t>
  </si>
  <si>
    <t>Total avant taxes</t>
  </si>
  <si>
    <t>Total taxes nettes</t>
  </si>
  <si>
    <t>Frais déjà encourus ou engagés</t>
  </si>
  <si>
    <t>Possibilité de mettre plus de fonds de parcs et/ou de surplus pour diminuer le montant du règlement d'emprunt</t>
  </si>
  <si>
    <t>Autre option: financement du garage par règlement d'emprunt mais pas le parcs</t>
  </si>
  <si>
    <t>Garage règlement d'emprunt</t>
  </si>
  <si>
    <t>Possibilité de financement sans règlement d'emprunt mais en utilisant le fonds de roulement (avantage: ne pas avoir le délai de 3-4 mois)</t>
  </si>
  <si>
    <t>Sous-Total Skatepark</t>
  </si>
  <si>
    <t>Possibilité de financement du parc et du garage sans règlement d'emprunt (avantage: ne pas avoir le délai de 3-4 mois pour le parc)</t>
  </si>
  <si>
    <t>Autre option: utiliser plus de fonds de parcs et/ou surplus (aucun impact sur les comptes de taxes)</t>
  </si>
  <si>
    <t>Coût pour la Municipalité</t>
  </si>
  <si>
    <t>À financer à même le compte des taxes des citoyens (règlement d’emprunt)</t>
  </si>
  <si>
    <t>Coût par 100 $ d’évaluation (30 ans)</t>
  </si>
  <si>
    <t>0,01 $</t>
  </si>
  <si>
    <t>Coût annuel type pour une habitation évaluée à 500 000 $</t>
  </si>
  <si>
    <t>OPTION 1 : Projet Parc intergénérationnel</t>
  </si>
  <si>
    <t>OPTION 2 : Projet Parc intergénérationnel + JEUX D'EAU</t>
  </si>
  <si>
    <t>OPTION 3 : Projet Parc intergénérationnel + PATINOIRE RÉFRIGÉRÉE</t>
  </si>
  <si>
    <t>OPTION 4 : Projet Parc intergénérationnel + PATINOIRE RÉFRIGÉRÉE + JEUX D'EAU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</si>
</sst>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#,##0\ &quot;$&quot;_);[Red]\(#,##0\ &quot;$&quot;\)"/>
    <numFmt numFmtId="8" formatCode="#,##0.00\ &quot;$&quot;_);[Red]\(#,##0.00\ &quot;$&quot;\)"/>
    <numFmt numFmtId="44" formatCode="_ * #,##0.00_)\ &quot;$&quot;_ ;_ * \(#,##0.00\)\ &quot;$&quot;_ ;_ * &quot;-&quot;??_)\ &quot;$&quot;_ ;_ @_ "/>
    <numFmt numFmtId="164" formatCode="_ * #,##0_)\ &quot;$&quot;_ ;_ * \(#,##0\)\ &quot;$&quot;_ ;_ * &quot;-&quot;??_)\ &quot;$&quot;_ ;_ @_ 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Arial"/>
      <family val="2"/>
    </font>
    <font>
      <b/>
      <sz val="20"/>
      <color rgb="FFFFFFFF"/>
      <name val="Calibri"/>
    </font>
    <font>
      <b/>
      <sz val="20"/>
      <color rgb="FF000000"/>
      <name val="Aptos Narrow"/>
    </font>
    <font>
      <sz val="20"/>
      <color rgb="FF000000"/>
      <name val="Aptos Narrow"/>
    </font>
    <font>
      <i/>
      <sz val="20"/>
      <color rgb="FF000000"/>
      <name val="Aptos Narrow"/>
    </font>
    <font>
      <b/>
      <sz val="18"/>
      <color theme="1"/>
      <name val="Aptos Narrow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2" tint="-0.14999847407452621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000000"/>
        <bgColor indexed="64"/>
      </patternFill>
    </fill>
    <fill>
      <patternFill patternType="solid">
        <fgColor rgb="FFCBCBCB"/>
        <bgColor indexed="64"/>
      </patternFill>
    </fill>
    <fill>
      <patternFill patternType="solid">
        <fgColor rgb="FFE7E7E7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6" tint="0.39997558519241921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FFFFFF"/>
      </left>
      <right/>
      <top style="medium">
        <color rgb="FFFFFFFF"/>
      </top>
      <bottom style="thick">
        <color rgb="FFFFFFFF"/>
      </bottom>
      <diagonal/>
    </border>
    <border>
      <left/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 style="thick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2">
    <xf numFmtId="0" fontId="0" fillId="0" borderId="0" xfId="0"/>
    <xf numFmtId="44" fontId="0" fillId="0" borderId="0" xfId="1" applyFont="1"/>
    <xf numFmtId="44" fontId="0" fillId="0" borderId="0" xfId="0" applyNumberFormat="1"/>
    <xf numFmtId="0" fontId="2" fillId="2" borderId="0" xfId="0" applyFont="1" applyFill="1"/>
    <xf numFmtId="0" fontId="3" fillId="3" borderId="0" xfId="0" applyFont="1" applyFill="1" applyAlignment="1">
      <alignment horizontal="center"/>
    </xf>
    <xf numFmtId="0" fontId="0" fillId="3" borderId="0" xfId="0" applyFill="1"/>
    <xf numFmtId="0" fontId="4" fillId="0" borderId="2" xfId="0" applyFont="1" applyBorder="1" applyAlignment="1">
      <alignment horizontal="right" vertical="center"/>
    </xf>
    <xf numFmtId="44" fontId="4" fillId="2" borderId="2" xfId="1" applyFont="1" applyFill="1" applyBorder="1" applyAlignment="1">
      <alignment vertical="center"/>
    </xf>
    <xf numFmtId="0" fontId="4" fillId="0" borderId="2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right" vertical="center"/>
    </xf>
    <xf numFmtId="44" fontId="4" fillId="0" borderId="2" xfId="1" applyFont="1" applyBorder="1" applyAlignment="1">
      <alignment vertical="center"/>
    </xf>
    <xf numFmtId="0" fontId="5" fillId="4" borderId="2" xfId="0" applyFont="1" applyFill="1" applyBorder="1" applyAlignment="1">
      <alignment horizontal="right" vertical="center"/>
    </xf>
    <xf numFmtId="44" fontId="5" fillId="0" borderId="2" xfId="1" applyFont="1" applyBorder="1" applyAlignment="1">
      <alignment vertical="center"/>
    </xf>
    <xf numFmtId="0" fontId="6" fillId="0" borderId="0" xfId="0" applyFont="1" applyAlignment="1">
      <alignment horizontal="right" vertical="center" wrapText="1"/>
    </xf>
    <xf numFmtId="0" fontId="0" fillId="0" borderId="2" xfId="0" applyBorder="1"/>
    <xf numFmtId="0" fontId="6" fillId="0" borderId="2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right"/>
    </xf>
    <xf numFmtId="0" fontId="2" fillId="0" borderId="3" xfId="0" applyFont="1" applyBorder="1" applyAlignment="1">
      <alignment horizontal="right"/>
    </xf>
    <xf numFmtId="44" fontId="5" fillId="0" borderId="3" xfId="1" applyFont="1" applyBorder="1" applyAlignment="1">
      <alignment vertical="center"/>
    </xf>
    <xf numFmtId="0" fontId="5" fillId="0" borderId="3" xfId="0" applyFont="1" applyBorder="1" applyAlignment="1">
      <alignment horizontal="right" vertical="center"/>
    </xf>
    <xf numFmtId="44" fontId="4" fillId="3" borderId="0" xfId="1" applyFont="1" applyFill="1" applyBorder="1" applyAlignment="1">
      <alignment vertical="center"/>
    </xf>
    <xf numFmtId="0" fontId="0" fillId="0" borderId="4" xfId="0" applyBorder="1"/>
    <xf numFmtId="44" fontId="0" fillId="0" borderId="4" xfId="1" applyFont="1" applyBorder="1"/>
    <xf numFmtId="6" fontId="4" fillId="2" borderId="2" xfId="1" applyNumberFormat="1" applyFont="1" applyFill="1" applyBorder="1" applyAlignment="1">
      <alignment vertical="center"/>
    </xf>
    <xf numFmtId="0" fontId="5" fillId="0" borderId="0" xfId="0" applyFont="1" applyAlignment="1">
      <alignment horizontal="right" vertical="center"/>
    </xf>
    <xf numFmtId="44" fontId="5" fillId="0" borderId="0" xfId="1" applyFont="1" applyBorder="1" applyAlignment="1">
      <alignment vertical="center"/>
    </xf>
    <xf numFmtId="0" fontId="3" fillId="3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0" fillId="0" borderId="0" xfId="0" applyAlignment="1">
      <alignment horizontal="right"/>
    </xf>
    <xf numFmtId="44" fontId="4" fillId="0" borderId="0" xfId="0" applyNumberFormat="1" applyFont="1" applyAlignment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right"/>
    </xf>
    <xf numFmtId="44" fontId="4" fillId="0" borderId="0" xfId="0" applyNumberFormat="1" applyFont="1"/>
    <xf numFmtId="0" fontId="2" fillId="0" borderId="0" xfId="0" applyFont="1"/>
    <xf numFmtId="164" fontId="0" fillId="0" borderId="0" xfId="1" applyNumberFormat="1" applyFont="1"/>
    <xf numFmtId="164" fontId="0" fillId="0" borderId="1" xfId="1" applyNumberFormat="1" applyFont="1" applyBorder="1"/>
    <xf numFmtId="164" fontId="0" fillId="0" borderId="0" xfId="0" applyNumberFormat="1"/>
    <xf numFmtId="6" fontId="0" fillId="0" borderId="0" xfId="0" applyNumberFormat="1"/>
    <xf numFmtId="0" fontId="7" fillId="5" borderId="5" xfId="0" applyFont="1" applyFill="1" applyBorder="1" applyAlignment="1">
      <alignment horizontal="center" vertical="center" wrapText="1" readingOrder="1"/>
    </xf>
    <xf numFmtId="0" fontId="7" fillId="5" borderId="6" xfId="0" applyFont="1" applyFill="1" applyBorder="1" applyAlignment="1">
      <alignment horizontal="center" vertical="center" wrapText="1" readingOrder="1"/>
    </xf>
    <xf numFmtId="0" fontId="8" fillId="6" borderId="7" xfId="0" applyFont="1" applyFill="1" applyBorder="1" applyAlignment="1">
      <alignment horizontal="left" vertical="center" wrapText="1" readingOrder="1"/>
    </xf>
    <xf numFmtId="6" fontId="9" fillId="6" borderId="7" xfId="0" applyNumberFormat="1" applyFont="1" applyFill="1" applyBorder="1" applyAlignment="1">
      <alignment horizontal="right" vertical="center" wrapText="1" readingOrder="1"/>
    </xf>
    <xf numFmtId="0" fontId="0" fillId="0" borderId="0" xfId="0" applyAlignment="1">
      <alignment vertical="center"/>
    </xf>
    <xf numFmtId="0" fontId="10" fillId="6" borderId="8" xfId="0" applyFont="1" applyFill="1" applyBorder="1" applyAlignment="1">
      <alignment horizontal="left" vertical="center" wrapText="1" readingOrder="1"/>
    </xf>
    <xf numFmtId="6" fontId="9" fillId="6" borderId="8" xfId="0" applyNumberFormat="1" applyFont="1" applyFill="1" applyBorder="1" applyAlignment="1">
      <alignment horizontal="right" vertical="center" wrapText="1" readingOrder="1"/>
    </xf>
    <xf numFmtId="0" fontId="10" fillId="7" borderId="8" xfId="0" applyFont="1" applyFill="1" applyBorder="1" applyAlignment="1">
      <alignment horizontal="left" vertical="center" wrapText="1" readingOrder="1"/>
    </xf>
    <xf numFmtId="6" fontId="8" fillId="7" borderId="8" xfId="0" applyNumberFormat="1" applyFont="1" applyFill="1" applyBorder="1" applyAlignment="1">
      <alignment horizontal="right" vertical="center" wrapText="1" readingOrder="1"/>
    </xf>
    <xf numFmtId="6" fontId="9" fillId="7" borderId="8" xfId="0" applyNumberFormat="1" applyFont="1" applyFill="1" applyBorder="1" applyAlignment="1">
      <alignment horizontal="right" vertical="center" wrapText="1" readingOrder="1"/>
    </xf>
    <xf numFmtId="0" fontId="9" fillId="7" borderId="8" xfId="0" applyFont="1" applyFill="1" applyBorder="1" applyAlignment="1">
      <alignment horizontal="center" vertical="center" wrapText="1" readingOrder="1"/>
    </xf>
    <xf numFmtId="6" fontId="9" fillId="6" borderId="8" xfId="0" applyNumberFormat="1" applyFont="1" applyFill="1" applyBorder="1" applyAlignment="1">
      <alignment horizontal="center" vertical="center" wrapText="1" readingOrder="1"/>
    </xf>
    <xf numFmtId="0" fontId="11" fillId="0" borderId="0" xfId="0" applyFont="1"/>
    <xf numFmtId="8" fontId="0" fillId="0" borderId="0" xfId="0" applyNumberFormat="1"/>
    <xf numFmtId="0" fontId="10" fillId="0" borderId="0" xfId="0" applyFont="1" applyFill="1" applyBorder="1" applyAlignment="1">
      <alignment horizontal="left" vertical="center" wrapText="1" readingOrder="1"/>
    </xf>
    <xf numFmtId="6" fontId="9" fillId="0" borderId="0" xfId="0" applyNumberFormat="1" applyFont="1" applyFill="1" applyBorder="1" applyAlignment="1">
      <alignment horizontal="center" vertical="center" wrapText="1" readingOrder="1"/>
    </xf>
    <xf numFmtId="0" fontId="0" fillId="0" borderId="0" xfId="0" applyFill="1" applyAlignment="1">
      <alignment vertical="center"/>
    </xf>
    <xf numFmtId="0" fontId="7" fillId="8" borderId="5" xfId="0" applyFont="1" applyFill="1" applyBorder="1" applyAlignment="1">
      <alignment horizontal="center" vertical="center" wrapText="1" readingOrder="1"/>
    </xf>
    <xf numFmtId="0" fontId="7" fillId="8" borderId="6" xfId="0" applyFont="1" applyFill="1" applyBorder="1" applyAlignment="1">
      <alignment horizontal="center" vertical="center" wrapText="1" readingOrder="1"/>
    </xf>
    <xf numFmtId="0" fontId="7" fillId="9" borderId="5" xfId="0" applyFont="1" applyFill="1" applyBorder="1" applyAlignment="1">
      <alignment horizontal="center" vertical="center" wrapText="1" readingOrder="1"/>
    </xf>
    <xf numFmtId="0" fontId="7" fillId="9" borderId="6" xfId="0" applyFont="1" applyFill="1" applyBorder="1" applyAlignment="1">
      <alignment horizontal="center" vertical="center" wrapText="1" readingOrder="1"/>
    </xf>
    <xf numFmtId="0" fontId="7" fillId="10" borderId="5" xfId="0" applyFont="1" applyFill="1" applyBorder="1" applyAlignment="1">
      <alignment horizontal="center" vertical="center" wrapText="1" readingOrder="1"/>
    </xf>
    <xf numFmtId="0" fontId="7" fillId="10" borderId="6" xfId="0" applyFont="1" applyFill="1" applyBorder="1" applyAlignment="1">
      <alignment horizontal="center" vertical="center" wrapText="1" readingOrder="1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13766A-3EBB-411F-979F-5AFF9856E754}">
  <dimension ref="B2:D61"/>
  <sheetViews>
    <sheetView tabSelected="1" zoomScale="80" zoomScaleNormal="80" workbookViewId="0">
      <selection activeCell="A44" sqref="A44:XFD59"/>
    </sheetView>
  </sheetViews>
  <sheetFormatPr baseColWidth="10" defaultRowHeight="14.4" x14ac:dyDescent="0.3"/>
  <cols>
    <col min="1" max="1" width="2.77734375" customWidth="1"/>
    <col min="2" max="2" width="103.77734375" customWidth="1"/>
    <col min="3" max="3" width="28.77734375" customWidth="1"/>
    <col min="4" max="4" width="4" customWidth="1"/>
  </cols>
  <sheetData>
    <row r="2" spans="2:4" ht="15" thickBot="1" x14ac:dyDescent="0.35"/>
    <row r="3" spans="2:4" ht="49.8" customHeight="1" thickBot="1" x14ac:dyDescent="0.35">
      <c r="B3" s="39" t="s">
        <v>59</v>
      </c>
      <c r="C3" s="40"/>
    </row>
    <row r="4" spans="2:4" ht="27" thickTop="1" thickBot="1" x14ac:dyDescent="0.35">
      <c r="B4" s="41" t="s">
        <v>3</v>
      </c>
      <c r="C4" s="42">
        <v>5675999</v>
      </c>
      <c r="D4" s="43"/>
    </row>
    <row r="5" spans="2:4" ht="26.4" thickBot="1" x14ac:dyDescent="0.35">
      <c r="B5" s="44" t="s">
        <v>5</v>
      </c>
      <c r="C5" s="45">
        <v>-2185565</v>
      </c>
      <c r="D5" s="43"/>
    </row>
    <row r="6" spans="2:4" ht="26.4" thickBot="1" x14ac:dyDescent="0.35">
      <c r="B6" s="46" t="s">
        <v>54</v>
      </c>
      <c r="C6" s="47">
        <v>3490435</v>
      </c>
      <c r="D6" s="43"/>
    </row>
    <row r="7" spans="2:4" ht="26.4" thickBot="1" x14ac:dyDescent="0.35">
      <c r="B7" s="46" t="s">
        <v>6</v>
      </c>
      <c r="C7" s="48">
        <v>-785000</v>
      </c>
      <c r="D7" s="43"/>
    </row>
    <row r="8" spans="2:4" ht="26.4" thickBot="1" x14ac:dyDescent="0.35">
      <c r="B8" s="44" t="s">
        <v>7</v>
      </c>
      <c r="C8" s="45">
        <v>-279488</v>
      </c>
      <c r="D8" s="43"/>
    </row>
    <row r="9" spans="2:4" ht="52.2" thickBot="1" x14ac:dyDescent="0.35">
      <c r="B9" s="46" t="s">
        <v>55</v>
      </c>
      <c r="C9" s="47">
        <v>2425946</v>
      </c>
      <c r="D9" s="43"/>
    </row>
    <row r="10" spans="2:4" ht="26.4" thickBot="1" x14ac:dyDescent="0.35">
      <c r="B10" s="46" t="s">
        <v>56</v>
      </c>
      <c r="C10" s="49" t="s">
        <v>57</v>
      </c>
      <c r="D10" s="43"/>
    </row>
    <row r="11" spans="2:4" ht="26.4" thickBot="1" x14ac:dyDescent="0.35">
      <c r="B11" s="44" t="s">
        <v>58</v>
      </c>
      <c r="C11" s="50">
        <v>50</v>
      </c>
      <c r="D11" s="43"/>
    </row>
    <row r="13" spans="2:4" ht="15" thickBot="1" x14ac:dyDescent="0.35"/>
    <row r="14" spans="2:4" ht="49.8" customHeight="1" thickBot="1" x14ac:dyDescent="0.35">
      <c r="B14" s="56" t="s">
        <v>60</v>
      </c>
      <c r="C14" s="57"/>
    </row>
    <row r="15" spans="2:4" ht="27" thickTop="1" thickBot="1" x14ac:dyDescent="0.35">
      <c r="B15" s="41" t="s">
        <v>3</v>
      </c>
      <c r="C15" s="42">
        <f>C4+350000</f>
        <v>6025999</v>
      </c>
      <c r="D15" s="43"/>
    </row>
    <row r="16" spans="2:4" ht="26.4" thickBot="1" x14ac:dyDescent="0.35">
      <c r="B16" s="44" t="s">
        <v>5</v>
      </c>
      <c r="C16" s="45">
        <v>-2185565</v>
      </c>
      <c r="D16" s="43"/>
    </row>
    <row r="17" spans="2:4" ht="26.4" thickBot="1" x14ac:dyDescent="0.35">
      <c r="B17" s="46" t="s">
        <v>54</v>
      </c>
      <c r="C17" s="47">
        <f>C15+C16</f>
        <v>3840434</v>
      </c>
      <c r="D17" s="43"/>
    </row>
    <row r="18" spans="2:4" ht="26.4" thickBot="1" x14ac:dyDescent="0.35">
      <c r="B18" s="46" t="s">
        <v>6</v>
      </c>
      <c r="C18" s="48">
        <v>-1000000</v>
      </c>
      <c r="D18" s="43"/>
    </row>
    <row r="19" spans="2:4" ht="26.4" thickBot="1" x14ac:dyDescent="0.35">
      <c r="B19" s="44" t="s">
        <v>7</v>
      </c>
      <c r="C19" s="45">
        <v>-1678870</v>
      </c>
      <c r="D19" s="43"/>
    </row>
    <row r="20" spans="2:4" ht="52.2" thickBot="1" x14ac:dyDescent="0.35">
      <c r="B20" s="46" t="s">
        <v>55</v>
      </c>
      <c r="C20" s="47">
        <f>C17+C18+C19</f>
        <v>1161564</v>
      </c>
      <c r="D20" s="43"/>
    </row>
    <row r="21" spans="2:4" ht="26.4" thickBot="1" x14ac:dyDescent="0.35">
      <c r="B21" s="46" t="s">
        <v>56</v>
      </c>
      <c r="C21" s="49" t="s">
        <v>57</v>
      </c>
      <c r="D21" s="43"/>
    </row>
    <row r="22" spans="2:4" ht="26.4" thickBot="1" x14ac:dyDescent="0.35">
      <c r="B22" s="44" t="s">
        <v>58</v>
      </c>
      <c r="C22" s="50">
        <v>50</v>
      </c>
      <c r="D22" s="43"/>
    </row>
    <row r="23" spans="2:4" ht="26.4" thickBot="1" x14ac:dyDescent="0.35">
      <c r="B23" s="53"/>
      <c r="C23" s="54"/>
      <c r="D23" s="55"/>
    </row>
    <row r="24" spans="2:4" ht="49.8" customHeight="1" thickBot="1" x14ac:dyDescent="0.35">
      <c r="B24" s="58" t="s">
        <v>61</v>
      </c>
      <c r="C24" s="59"/>
    </row>
    <row r="25" spans="2:4" ht="27" thickTop="1" thickBot="1" x14ac:dyDescent="0.35">
      <c r="B25" s="41" t="s">
        <v>3</v>
      </c>
      <c r="C25" s="42">
        <f>C4+1000000</f>
        <v>6675999</v>
      </c>
      <c r="D25" s="43"/>
    </row>
    <row r="26" spans="2:4" ht="26.4" customHeight="1" thickBot="1" x14ac:dyDescent="0.35">
      <c r="B26" s="44" t="s">
        <v>5</v>
      </c>
      <c r="C26" s="45">
        <v>-2185565</v>
      </c>
      <c r="D26" s="43"/>
    </row>
    <row r="27" spans="2:4" ht="26.4" thickBot="1" x14ac:dyDescent="0.35">
      <c r="B27" s="46" t="s">
        <v>54</v>
      </c>
      <c r="C27" s="47">
        <f>C25+C26</f>
        <v>4490434</v>
      </c>
      <c r="D27" s="43"/>
    </row>
    <row r="28" spans="2:4" ht="26.4" thickBot="1" x14ac:dyDescent="0.35">
      <c r="B28" s="46" t="s">
        <v>6</v>
      </c>
      <c r="C28" s="48">
        <v>-1000000</v>
      </c>
      <c r="D28" s="43"/>
    </row>
    <row r="29" spans="2:4" ht="26.4" thickBot="1" x14ac:dyDescent="0.35">
      <c r="B29" s="44" t="s">
        <v>7</v>
      </c>
      <c r="C29" s="45">
        <v>-1678870</v>
      </c>
      <c r="D29" s="43"/>
    </row>
    <row r="30" spans="2:4" ht="52.2" thickBot="1" x14ac:dyDescent="0.35">
      <c r="B30" s="46" t="s">
        <v>55</v>
      </c>
      <c r="C30" s="47">
        <f>C27+C28+C29</f>
        <v>1811564</v>
      </c>
      <c r="D30" s="43"/>
    </row>
    <row r="31" spans="2:4" ht="26.4" thickBot="1" x14ac:dyDescent="0.35">
      <c r="B31" s="46" t="s">
        <v>56</v>
      </c>
      <c r="C31" s="49" t="s">
        <v>57</v>
      </c>
      <c r="D31" s="43"/>
    </row>
    <row r="32" spans="2:4" ht="26.4" thickBot="1" x14ac:dyDescent="0.35">
      <c r="B32" s="44" t="s">
        <v>58</v>
      </c>
      <c r="C32" s="50">
        <v>50</v>
      </c>
      <c r="D32" s="43"/>
    </row>
    <row r="33" spans="2:4" ht="26.4" thickBot="1" x14ac:dyDescent="0.35">
      <c r="B33" s="53"/>
      <c r="C33" s="54"/>
      <c r="D33" s="55"/>
    </row>
    <row r="34" spans="2:4" ht="49.8" customHeight="1" thickBot="1" x14ac:dyDescent="0.35">
      <c r="B34" s="60" t="s">
        <v>62</v>
      </c>
      <c r="C34" s="61"/>
    </row>
    <row r="35" spans="2:4" ht="27" thickTop="1" thickBot="1" x14ac:dyDescent="0.35">
      <c r="B35" s="41" t="s">
        <v>3</v>
      </c>
      <c r="C35" s="42">
        <v>7050000</v>
      </c>
      <c r="D35" s="43"/>
    </row>
    <row r="36" spans="2:4" ht="26.4" thickBot="1" x14ac:dyDescent="0.35">
      <c r="B36" s="44" t="s">
        <v>5</v>
      </c>
      <c r="C36" s="45">
        <v>-2185565</v>
      </c>
      <c r="D36" s="43"/>
    </row>
    <row r="37" spans="2:4" ht="26.4" thickBot="1" x14ac:dyDescent="0.35">
      <c r="B37" s="46" t="s">
        <v>54</v>
      </c>
      <c r="C37" s="47">
        <f>C35+C36</f>
        <v>4864435</v>
      </c>
      <c r="D37" s="43"/>
    </row>
    <row r="38" spans="2:4" ht="26.4" thickBot="1" x14ac:dyDescent="0.35">
      <c r="B38" s="46" t="s">
        <v>6</v>
      </c>
      <c r="C38" s="48">
        <v>-1000000</v>
      </c>
      <c r="D38" s="43"/>
    </row>
    <row r="39" spans="2:4" ht="26.4" thickBot="1" x14ac:dyDescent="0.35">
      <c r="B39" s="44" t="s">
        <v>7</v>
      </c>
      <c r="C39" s="45">
        <v>-1678870</v>
      </c>
      <c r="D39" s="43"/>
    </row>
    <row r="40" spans="2:4" ht="52.2" thickBot="1" x14ac:dyDescent="0.35">
      <c r="B40" s="46" t="s">
        <v>55</v>
      </c>
      <c r="C40" s="47">
        <f>C37+C38+C39</f>
        <v>2185565</v>
      </c>
      <c r="D40" s="43"/>
    </row>
    <row r="41" spans="2:4" ht="26.4" thickBot="1" x14ac:dyDescent="0.35">
      <c r="B41" s="46" t="s">
        <v>56</v>
      </c>
      <c r="C41" s="49" t="s">
        <v>57</v>
      </c>
      <c r="D41" s="43"/>
    </row>
    <row r="42" spans="2:4" ht="26.4" thickBot="1" x14ac:dyDescent="0.35">
      <c r="B42" s="44" t="s">
        <v>58</v>
      </c>
      <c r="C42" s="50">
        <v>50</v>
      </c>
      <c r="D42" s="43"/>
    </row>
    <row r="43" spans="2:4" ht="25.8" x14ac:dyDescent="0.3">
      <c r="B43" s="53"/>
      <c r="C43" s="54"/>
      <c r="D43" s="55"/>
    </row>
    <row r="44" spans="2:4" ht="23.4" x14ac:dyDescent="0.45">
      <c r="B44" s="51"/>
    </row>
    <row r="46" spans="2:4" x14ac:dyDescent="0.3">
      <c r="C46" s="1"/>
    </row>
    <row r="47" spans="2:4" x14ac:dyDescent="0.3">
      <c r="C47" s="1"/>
    </row>
    <row r="48" spans="2:4" x14ac:dyDescent="0.3">
      <c r="C48" s="1"/>
    </row>
    <row r="49" spans="3:3" x14ac:dyDescent="0.3">
      <c r="C49" s="1"/>
    </row>
    <row r="50" spans="3:3" x14ac:dyDescent="0.3">
      <c r="C50" s="1"/>
    </row>
    <row r="51" spans="3:3" x14ac:dyDescent="0.3">
      <c r="C51" s="1"/>
    </row>
    <row r="52" spans="3:3" x14ac:dyDescent="0.3">
      <c r="C52" s="1"/>
    </row>
    <row r="53" spans="3:3" x14ac:dyDescent="0.3">
      <c r="C53" s="1"/>
    </row>
    <row r="54" spans="3:3" x14ac:dyDescent="0.3">
      <c r="C54" s="1"/>
    </row>
    <row r="55" spans="3:3" x14ac:dyDescent="0.3">
      <c r="C55" s="1"/>
    </row>
    <row r="56" spans="3:3" x14ac:dyDescent="0.3">
      <c r="C56" s="52"/>
    </row>
    <row r="57" spans="3:3" x14ac:dyDescent="0.3">
      <c r="C57" s="38"/>
    </row>
    <row r="58" spans="3:3" x14ac:dyDescent="0.3">
      <c r="C58" s="38"/>
    </row>
    <row r="61" spans="3:3" x14ac:dyDescent="0.3">
      <c r="C61" s="2"/>
    </row>
  </sheetData>
  <mergeCells count="4">
    <mergeCell ref="B34:C34"/>
    <mergeCell ref="B3:C3"/>
    <mergeCell ref="B14:C14"/>
    <mergeCell ref="B24:C24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786F05-BC03-4489-935B-4BB8C5AEE619}">
  <dimension ref="A3:H59"/>
  <sheetViews>
    <sheetView topLeftCell="A26" zoomScale="145" zoomScaleNormal="145" workbookViewId="0">
      <selection activeCell="B48" sqref="B48"/>
    </sheetView>
  </sheetViews>
  <sheetFormatPr baseColWidth="10" defaultRowHeight="14.4" x14ac:dyDescent="0.3"/>
  <cols>
    <col min="1" max="1" width="36.109375" bestFit="1" customWidth="1"/>
    <col min="2" max="2" width="15.109375" bestFit="1" customWidth="1"/>
    <col min="5" max="5" width="13.6640625" bestFit="1" customWidth="1"/>
    <col min="8" max="8" width="13.6640625" bestFit="1" customWidth="1"/>
  </cols>
  <sheetData>
    <row r="3" spans="1:8" ht="18" x14ac:dyDescent="0.35">
      <c r="A3" s="4" t="s">
        <v>14</v>
      </c>
      <c r="B3" s="5"/>
    </row>
    <row r="4" spans="1:8" x14ac:dyDescent="0.3">
      <c r="A4" s="6" t="s">
        <v>15</v>
      </c>
      <c r="B4" s="7">
        <v>1197400</v>
      </c>
    </row>
    <row r="5" spans="1:8" x14ac:dyDescent="0.3">
      <c r="A5" s="6" t="s">
        <v>16</v>
      </c>
      <c r="B5" s="7">
        <v>932223</v>
      </c>
    </row>
    <row r="6" spans="1:8" x14ac:dyDescent="0.3">
      <c r="A6" s="6" t="s">
        <v>17</v>
      </c>
      <c r="B6" s="7">
        <v>50000</v>
      </c>
      <c r="H6" s="1"/>
    </row>
    <row r="7" spans="1:8" x14ac:dyDescent="0.3">
      <c r="A7" s="6" t="s">
        <v>18</v>
      </c>
      <c r="B7" s="7">
        <v>155000</v>
      </c>
    </row>
    <row r="8" spans="1:8" ht="28.8" x14ac:dyDescent="0.3">
      <c r="A8" s="8" t="s">
        <v>19</v>
      </c>
      <c r="B8" s="7">
        <v>288000</v>
      </c>
      <c r="E8" s="1"/>
    </row>
    <row r="9" spans="1:8" x14ac:dyDescent="0.3">
      <c r="A9" s="9"/>
      <c r="B9" s="10"/>
      <c r="E9" s="2"/>
    </row>
    <row r="10" spans="1:8" x14ac:dyDescent="0.3">
      <c r="A10" s="11" t="s">
        <v>20</v>
      </c>
      <c r="B10" s="12">
        <f>SUM(B4:B9)</f>
        <v>2622623</v>
      </c>
    </row>
    <row r="11" spans="1:8" x14ac:dyDescent="0.3">
      <c r="A11" s="13" t="s">
        <v>21</v>
      </c>
      <c r="B11" s="10">
        <f>B10*5%</f>
        <v>131131.15</v>
      </c>
    </row>
    <row r="12" spans="1:8" x14ac:dyDescent="0.3">
      <c r="A12" s="14"/>
      <c r="B12" s="12">
        <f>SUM(B10:B11)</f>
        <v>2753754.15</v>
      </c>
      <c r="E12" s="2"/>
    </row>
    <row r="13" spans="1:8" ht="27.6" x14ac:dyDescent="0.3">
      <c r="A13" s="15" t="s">
        <v>22</v>
      </c>
      <c r="B13" s="10">
        <f>B12*10%</f>
        <v>275375.41499999998</v>
      </c>
      <c r="E13" s="2"/>
      <c r="H13" s="2"/>
    </row>
    <row r="14" spans="1:8" x14ac:dyDescent="0.3">
      <c r="A14" s="13" t="s">
        <v>23</v>
      </c>
      <c r="B14" s="10">
        <f>B12*15%</f>
        <v>413063.1225</v>
      </c>
      <c r="E14" s="2"/>
    </row>
    <row r="15" spans="1:8" x14ac:dyDescent="0.3">
      <c r="A15" s="16" t="s">
        <v>24</v>
      </c>
      <c r="B15" s="12">
        <f>SUM(B12:B14)</f>
        <v>3442192.6875</v>
      </c>
    </row>
    <row r="16" spans="1:8" x14ac:dyDescent="0.3">
      <c r="A16" s="17" t="s">
        <v>25</v>
      </c>
      <c r="B16" s="18">
        <f>B15*0.049875</f>
        <v>171679.36028906252</v>
      </c>
    </row>
    <row r="17" spans="1:2" x14ac:dyDescent="0.3">
      <c r="A17" s="19" t="s">
        <v>26</v>
      </c>
      <c r="B17" s="18">
        <f>B15+B16</f>
        <v>3613872.0477890624</v>
      </c>
    </row>
    <row r="19" spans="1:2" ht="18" x14ac:dyDescent="0.35">
      <c r="A19" s="4" t="s">
        <v>27</v>
      </c>
      <c r="B19" s="20"/>
    </row>
    <row r="20" spans="1:2" x14ac:dyDescent="0.3">
      <c r="A20" s="21"/>
      <c r="B20" s="22"/>
    </row>
    <row r="21" spans="1:2" x14ac:dyDescent="0.3">
      <c r="A21" s="6" t="s">
        <v>15</v>
      </c>
      <c r="B21" s="7">
        <v>65000</v>
      </c>
    </row>
    <row r="22" spans="1:2" x14ac:dyDescent="0.3">
      <c r="A22" s="6" t="s">
        <v>28</v>
      </c>
      <c r="B22" s="7">
        <v>134200</v>
      </c>
    </row>
    <row r="23" spans="1:2" x14ac:dyDescent="0.3">
      <c r="A23" s="6" t="s">
        <v>29</v>
      </c>
      <c r="B23" s="7">
        <v>29850</v>
      </c>
    </row>
    <row r="24" spans="1:2" x14ac:dyDescent="0.3">
      <c r="A24" s="6" t="s">
        <v>30</v>
      </c>
      <c r="B24" s="7">
        <v>11625</v>
      </c>
    </row>
    <row r="25" spans="1:2" x14ac:dyDescent="0.3">
      <c r="A25" s="6" t="s">
        <v>31</v>
      </c>
      <c r="B25" s="7">
        <v>11625</v>
      </c>
    </row>
    <row r="26" spans="1:2" x14ac:dyDescent="0.3">
      <c r="A26" s="6" t="s">
        <v>18</v>
      </c>
      <c r="B26" s="23">
        <v>15500</v>
      </c>
    </row>
    <row r="27" spans="1:2" x14ac:dyDescent="0.3">
      <c r="A27" s="6" t="s">
        <v>32</v>
      </c>
      <c r="B27" s="7">
        <v>7000</v>
      </c>
    </row>
    <row r="28" spans="1:2" x14ac:dyDescent="0.3">
      <c r="A28" s="6" t="s">
        <v>33</v>
      </c>
      <c r="B28" s="7">
        <v>62000</v>
      </c>
    </row>
    <row r="29" spans="1:2" x14ac:dyDescent="0.3">
      <c r="A29" s="6"/>
      <c r="B29" s="10"/>
    </row>
    <row r="30" spans="1:2" x14ac:dyDescent="0.3">
      <c r="A30" s="9" t="s">
        <v>34</v>
      </c>
      <c r="B30" s="12">
        <f>SUM(B21:B29)</f>
        <v>336800</v>
      </c>
    </row>
    <row r="31" spans="1:2" x14ac:dyDescent="0.3">
      <c r="A31" s="13" t="s">
        <v>21</v>
      </c>
      <c r="B31" s="10">
        <f>B30*5%</f>
        <v>16840</v>
      </c>
    </row>
    <row r="32" spans="1:2" x14ac:dyDescent="0.3">
      <c r="B32" s="12">
        <f>SUM(B30:B31)</f>
        <v>353640</v>
      </c>
    </row>
    <row r="33" spans="1:2" ht="27.6" x14ac:dyDescent="0.3">
      <c r="A33" s="13" t="s">
        <v>22</v>
      </c>
      <c r="B33" s="10">
        <f>B32*10%</f>
        <v>35364</v>
      </c>
    </row>
    <row r="34" spans="1:2" x14ac:dyDescent="0.3">
      <c r="A34" s="13" t="s">
        <v>23</v>
      </c>
      <c r="B34" s="10">
        <f>B32*15%</f>
        <v>53046</v>
      </c>
    </row>
    <row r="35" spans="1:2" x14ac:dyDescent="0.3">
      <c r="A35" s="19" t="s">
        <v>35</v>
      </c>
      <c r="B35" s="18">
        <f>SUM(B32:B34)</f>
        <v>442050</v>
      </c>
    </row>
    <row r="36" spans="1:2" x14ac:dyDescent="0.3">
      <c r="A36" s="24" t="s">
        <v>36</v>
      </c>
      <c r="B36" s="25">
        <f>B35*0.049875</f>
        <v>22047.243750000001</v>
      </c>
    </row>
    <row r="37" spans="1:2" x14ac:dyDescent="0.3">
      <c r="A37" s="24"/>
      <c r="B37" s="25">
        <f>B35+B36</f>
        <v>464097.24375000002</v>
      </c>
    </row>
    <row r="38" spans="1:2" ht="18" x14ac:dyDescent="0.3">
      <c r="A38" s="26" t="s">
        <v>37</v>
      </c>
      <c r="B38" s="20"/>
    </row>
    <row r="39" spans="1:2" x14ac:dyDescent="0.3">
      <c r="A39" s="6" t="s">
        <v>38</v>
      </c>
      <c r="B39" s="7">
        <v>300820</v>
      </c>
    </row>
    <row r="40" spans="1:2" x14ac:dyDescent="0.3">
      <c r="A40" s="6" t="s">
        <v>39</v>
      </c>
      <c r="B40" s="7">
        <v>78830</v>
      </c>
    </row>
    <row r="41" spans="1:2" x14ac:dyDescent="0.3">
      <c r="A41" s="6" t="s">
        <v>40</v>
      </c>
      <c r="B41" s="7">
        <v>102000</v>
      </c>
    </row>
    <row r="42" spans="1:2" x14ac:dyDescent="0.3">
      <c r="A42" s="6" t="s">
        <v>41</v>
      </c>
      <c r="B42" s="7">
        <v>418000</v>
      </c>
    </row>
    <row r="43" spans="1:2" x14ac:dyDescent="0.3">
      <c r="A43" s="6" t="s">
        <v>42</v>
      </c>
      <c r="B43" s="7">
        <v>75000</v>
      </c>
    </row>
    <row r="44" spans="1:2" x14ac:dyDescent="0.3">
      <c r="A44" s="6"/>
      <c r="B44" s="10"/>
    </row>
    <row r="45" spans="1:2" x14ac:dyDescent="0.3">
      <c r="A45" s="9" t="s">
        <v>51</v>
      </c>
      <c r="B45" s="12">
        <f>SUM(B39:B44)</f>
        <v>974650</v>
      </c>
    </row>
    <row r="46" spans="1:2" x14ac:dyDescent="0.3">
      <c r="A46" s="13" t="s">
        <v>21</v>
      </c>
      <c r="B46" s="10">
        <f>B45*5%</f>
        <v>48732.5</v>
      </c>
    </row>
    <row r="47" spans="1:2" x14ac:dyDescent="0.3">
      <c r="A47" s="27"/>
      <c r="B47" s="12">
        <f>SUM(B45:B46)</f>
        <v>1023382.5</v>
      </c>
    </row>
    <row r="48" spans="1:2" ht="27.6" x14ac:dyDescent="0.3">
      <c r="A48" s="13" t="s">
        <v>22</v>
      </c>
      <c r="B48" s="10">
        <f>B47*10%</f>
        <v>102338.25</v>
      </c>
    </row>
    <row r="49" spans="1:2" x14ac:dyDescent="0.3">
      <c r="A49" s="13" t="s">
        <v>23</v>
      </c>
      <c r="B49" s="10">
        <f>B47*15%</f>
        <v>153507.375</v>
      </c>
    </row>
    <row r="50" spans="1:2" x14ac:dyDescent="0.3">
      <c r="A50" s="9" t="s">
        <v>43</v>
      </c>
      <c r="B50" s="12">
        <f>SUM(B47:B49)</f>
        <v>1279228.125</v>
      </c>
    </row>
    <row r="51" spans="1:2" x14ac:dyDescent="0.3">
      <c r="A51" s="24" t="s">
        <v>36</v>
      </c>
      <c r="B51" s="25">
        <f>B50*0.049875</f>
        <v>63801.502734375004</v>
      </c>
    </row>
    <row r="52" spans="1:2" x14ac:dyDescent="0.3">
      <c r="A52" s="24"/>
      <c r="B52" s="25">
        <f>B50+B51</f>
        <v>1343029.627734375</v>
      </c>
    </row>
    <row r="53" spans="1:2" x14ac:dyDescent="0.3">
      <c r="A53" s="28"/>
    </row>
    <row r="54" spans="1:2" x14ac:dyDescent="0.3">
      <c r="A54" s="24" t="s">
        <v>44</v>
      </c>
      <c r="B54" s="29">
        <f>B50+B35+B15</f>
        <v>5163470.8125</v>
      </c>
    </row>
    <row r="55" spans="1:2" x14ac:dyDescent="0.3">
      <c r="A55" s="30"/>
      <c r="B55" s="31"/>
    </row>
    <row r="56" spans="1:2" x14ac:dyDescent="0.3">
      <c r="A56" s="32" t="s">
        <v>45</v>
      </c>
      <c r="B56" s="33">
        <f>B52+B37+B17</f>
        <v>5420998.9192734379</v>
      </c>
    </row>
    <row r="59" spans="1:2" x14ac:dyDescent="0.3">
      <c r="A59" s="34" t="s">
        <v>46</v>
      </c>
      <c r="B59" s="1">
        <f>255000</f>
        <v>255000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918835-A09F-408A-BE89-47E47AA8EE1E}">
  <dimension ref="A1:B14"/>
  <sheetViews>
    <sheetView workbookViewId="0">
      <selection activeCell="B4" sqref="B4"/>
    </sheetView>
  </sheetViews>
  <sheetFormatPr baseColWidth="10" defaultRowHeight="14.4" x14ac:dyDescent="0.3"/>
  <cols>
    <col min="1" max="1" width="18.109375" bestFit="1" customWidth="1"/>
    <col min="2" max="2" width="21.33203125" bestFit="1" customWidth="1"/>
  </cols>
  <sheetData>
    <row r="1" spans="1:2" x14ac:dyDescent="0.3">
      <c r="A1" t="s">
        <v>0</v>
      </c>
    </row>
    <row r="2" spans="1:2" x14ac:dyDescent="0.3">
      <c r="A2" s="3" t="s">
        <v>1</v>
      </c>
      <c r="B2" s="3" t="s">
        <v>2</v>
      </c>
    </row>
    <row r="4" spans="1:2" x14ac:dyDescent="0.3">
      <c r="A4" s="34" t="s">
        <v>3</v>
      </c>
      <c r="B4" s="35">
        <f>Feuil1!B56+Feuil1!B59</f>
        <v>5675998.9192734379</v>
      </c>
    </row>
    <row r="5" spans="1:2" x14ac:dyDescent="0.3">
      <c r="B5" s="35"/>
    </row>
    <row r="6" spans="1:2" x14ac:dyDescent="0.3">
      <c r="A6" s="34" t="s">
        <v>4</v>
      </c>
      <c r="B6" s="35"/>
    </row>
    <row r="7" spans="1:2" x14ac:dyDescent="0.3">
      <c r="A7" t="s">
        <v>5</v>
      </c>
      <c r="B7" s="35">
        <v>2185565</v>
      </c>
    </row>
    <row r="8" spans="1:2" x14ac:dyDescent="0.3">
      <c r="A8" t="s">
        <v>6</v>
      </c>
      <c r="B8" s="35">
        <v>785000</v>
      </c>
    </row>
    <row r="9" spans="1:2" x14ac:dyDescent="0.3">
      <c r="A9" t="s">
        <v>7</v>
      </c>
      <c r="B9" s="35">
        <v>279488</v>
      </c>
    </row>
    <row r="10" spans="1:2" x14ac:dyDescent="0.3">
      <c r="A10" t="s">
        <v>8</v>
      </c>
      <c r="B10" s="35">
        <f>5675999-2185565-785000-279488</f>
        <v>2425946</v>
      </c>
    </row>
    <row r="11" spans="1:2" x14ac:dyDescent="0.3">
      <c r="B11" s="36">
        <f>B7+B8+B9+B10</f>
        <v>5675999</v>
      </c>
    </row>
    <row r="14" spans="1:2" x14ac:dyDescent="0.3">
      <c r="A14" t="s">
        <v>47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F666CA-B0BB-4F8E-8401-00BD083824A7}">
  <dimension ref="A1:B27"/>
  <sheetViews>
    <sheetView workbookViewId="0">
      <selection activeCell="B25" sqref="B25"/>
    </sheetView>
  </sheetViews>
  <sheetFormatPr baseColWidth="10" defaultRowHeight="14.4" x14ac:dyDescent="0.3"/>
  <cols>
    <col min="1" max="1" width="26.6640625" customWidth="1"/>
    <col min="2" max="2" width="19.6640625" bestFit="1" customWidth="1"/>
  </cols>
  <sheetData>
    <row r="1" spans="1:2" x14ac:dyDescent="0.3">
      <c r="A1" t="s">
        <v>0</v>
      </c>
    </row>
    <row r="2" spans="1:2" x14ac:dyDescent="0.3">
      <c r="A2" s="3" t="s">
        <v>12</v>
      </c>
      <c r="B2" s="3" t="s">
        <v>11</v>
      </c>
    </row>
    <row r="4" spans="1:2" x14ac:dyDescent="0.3">
      <c r="A4" s="34" t="s">
        <v>3</v>
      </c>
      <c r="B4" s="35">
        <f>Feuil1!B37+Feuil1!B52+Feuil1!B59</f>
        <v>2062126.8714843751</v>
      </c>
    </row>
    <row r="5" spans="1:2" x14ac:dyDescent="0.3">
      <c r="B5" s="35"/>
    </row>
    <row r="6" spans="1:2" x14ac:dyDescent="0.3">
      <c r="A6" s="34" t="s">
        <v>4</v>
      </c>
      <c r="B6" s="35"/>
    </row>
    <row r="7" spans="1:2" x14ac:dyDescent="0.3">
      <c r="A7" t="s">
        <v>5</v>
      </c>
      <c r="B7" s="35">
        <v>0</v>
      </c>
    </row>
    <row r="8" spans="1:2" x14ac:dyDescent="0.3">
      <c r="A8" t="s">
        <v>6</v>
      </c>
      <c r="B8" s="35">
        <v>785000</v>
      </c>
    </row>
    <row r="9" spans="1:2" x14ac:dyDescent="0.3">
      <c r="A9" t="s">
        <v>7</v>
      </c>
      <c r="B9" s="35">
        <v>279488</v>
      </c>
    </row>
    <row r="10" spans="1:2" x14ac:dyDescent="0.3">
      <c r="A10" t="s">
        <v>8</v>
      </c>
      <c r="B10" s="35">
        <f>B4-785000-279488</f>
        <v>997638.87148437509</v>
      </c>
    </row>
    <row r="11" spans="1:2" x14ac:dyDescent="0.3">
      <c r="B11" s="36">
        <f>B7+B8+B9+B10</f>
        <v>2062126.8714843751</v>
      </c>
    </row>
    <row r="12" spans="1:2" x14ac:dyDescent="0.3">
      <c r="B12" s="37"/>
    </row>
    <row r="14" spans="1:2" x14ac:dyDescent="0.3">
      <c r="A14" t="s">
        <v>52</v>
      </c>
    </row>
    <row r="16" spans="1:2" x14ac:dyDescent="0.3">
      <c r="A16" t="s">
        <v>6</v>
      </c>
      <c r="B16" s="35">
        <v>1000000</v>
      </c>
    </row>
    <row r="17" spans="1:2" x14ac:dyDescent="0.3">
      <c r="A17" t="s">
        <v>7</v>
      </c>
      <c r="B17" s="35">
        <f>B11-1500000</f>
        <v>562126.87148437509</v>
      </c>
    </row>
    <row r="18" spans="1:2" x14ac:dyDescent="0.3">
      <c r="A18" t="s">
        <v>13</v>
      </c>
      <c r="B18" s="35">
        <v>500000</v>
      </c>
    </row>
    <row r="19" spans="1:2" x14ac:dyDescent="0.3">
      <c r="B19" s="36">
        <f>SUM(B16:B18)</f>
        <v>2062126.8714843751</v>
      </c>
    </row>
    <row r="21" spans="1:2" x14ac:dyDescent="0.3">
      <c r="A21" t="s">
        <v>48</v>
      </c>
    </row>
    <row r="23" spans="1:2" x14ac:dyDescent="0.3">
      <c r="A23" t="s">
        <v>49</v>
      </c>
      <c r="B23" s="37">
        <f>Feuil1!B37</f>
        <v>464097.24375000002</v>
      </c>
    </row>
    <row r="24" spans="1:2" x14ac:dyDescent="0.3">
      <c r="A24" t="s">
        <v>6</v>
      </c>
      <c r="B24" s="35">
        <f>B11-B23-B25-B26</f>
        <v>818541.62773437519</v>
      </c>
    </row>
    <row r="25" spans="1:2" x14ac:dyDescent="0.3">
      <c r="A25" t="s">
        <v>7</v>
      </c>
      <c r="B25" s="35">
        <v>279488</v>
      </c>
    </row>
    <row r="26" spans="1:2" x14ac:dyDescent="0.3">
      <c r="A26" t="s">
        <v>13</v>
      </c>
      <c r="B26" s="35">
        <v>500000</v>
      </c>
    </row>
    <row r="27" spans="1:2" x14ac:dyDescent="0.3">
      <c r="B27" s="36">
        <f>SUM(B23:B26)</f>
        <v>2062126.8714843751</v>
      </c>
    </row>
  </sheetData>
  <pageMargins left="0.7" right="0.7" top="0.75" bottom="0.75" header="0.3" footer="0.3"/>
  <pageSetup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05C768-46A2-498D-89EA-385330245829}">
  <dimension ref="A1:B26"/>
  <sheetViews>
    <sheetView workbookViewId="0">
      <selection activeCell="A14" sqref="A14"/>
    </sheetView>
  </sheetViews>
  <sheetFormatPr baseColWidth="10" defaultRowHeight="14.4" x14ac:dyDescent="0.3"/>
  <cols>
    <col min="1" max="1" width="18.109375" bestFit="1" customWidth="1"/>
    <col min="2" max="2" width="19.6640625" bestFit="1" customWidth="1"/>
  </cols>
  <sheetData>
    <row r="1" spans="1:2" x14ac:dyDescent="0.3">
      <c r="A1" t="s">
        <v>0</v>
      </c>
    </row>
    <row r="2" spans="1:2" x14ac:dyDescent="0.3">
      <c r="A2" s="3" t="s">
        <v>9</v>
      </c>
      <c r="B2" s="3" t="s">
        <v>10</v>
      </c>
    </row>
    <row r="4" spans="1:2" x14ac:dyDescent="0.3">
      <c r="A4" s="34" t="s">
        <v>3</v>
      </c>
      <c r="B4" s="35">
        <f>Feuil1!B52+Feuil1!B59</f>
        <v>1598029.627734375</v>
      </c>
    </row>
    <row r="5" spans="1:2" x14ac:dyDescent="0.3">
      <c r="B5" s="35"/>
    </row>
    <row r="6" spans="1:2" x14ac:dyDescent="0.3">
      <c r="A6" s="34" t="s">
        <v>4</v>
      </c>
      <c r="B6" s="35"/>
    </row>
    <row r="7" spans="1:2" x14ac:dyDescent="0.3">
      <c r="A7" t="s">
        <v>5</v>
      </c>
      <c r="B7" s="35">
        <v>0</v>
      </c>
    </row>
    <row r="8" spans="1:2" x14ac:dyDescent="0.3">
      <c r="A8" t="s">
        <v>6</v>
      </c>
      <c r="B8" s="35">
        <v>785000</v>
      </c>
    </row>
    <row r="9" spans="1:2" x14ac:dyDescent="0.3">
      <c r="A9" t="s">
        <v>7</v>
      </c>
      <c r="B9" s="35">
        <v>279488</v>
      </c>
    </row>
    <row r="10" spans="1:2" x14ac:dyDescent="0.3">
      <c r="A10" t="s">
        <v>8</v>
      </c>
      <c r="B10" s="35">
        <f>B4-785000-279488</f>
        <v>533541.62773437495</v>
      </c>
    </row>
    <row r="11" spans="1:2" x14ac:dyDescent="0.3">
      <c r="B11" s="36">
        <f>B7+B8+B9+B10</f>
        <v>1598029.627734375</v>
      </c>
    </row>
    <row r="12" spans="1:2" x14ac:dyDescent="0.3">
      <c r="B12" s="37"/>
    </row>
    <row r="14" spans="1:2" x14ac:dyDescent="0.3">
      <c r="A14" t="s">
        <v>50</v>
      </c>
    </row>
    <row r="16" spans="1:2" x14ac:dyDescent="0.3">
      <c r="A16" t="s">
        <v>6</v>
      </c>
      <c r="B16" s="35">
        <v>785000</v>
      </c>
    </row>
    <row r="17" spans="1:2" x14ac:dyDescent="0.3">
      <c r="A17" t="s">
        <v>7</v>
      </c>
      <c r="B17" s="35">
        <v>279488</v>
      </c>
    </row>
    <row r="18" spans="1:2" x14ac:dyDescent="0.3">
      <c r="A18" t="s">
        <v>13</v>
      </c>
      <c r="B18" s="35">
        <f>B11-785000-279488</f>
        <v>533541.62773437495</v>
      </c>
    </row>
    <row r="19" spans="1:2" x14ac:dyDescent="0.3">
      <c r="B19" s="36">
        <f>SUM(B16:B18)</f>
        <v>1598029.627734375</v>
      </c>
    </row>
    <row r="22" spans="1:2" x14ac:dyDescent="0.3">
      <c r="A22" t="s">
        <v>53</v>
      </c>
    </row>
    <row r="24" spans="1:2" x14ac:dyDescent="0.3">
      <c r="A24" t="s">
        <v>6</v>
      </c>
      <c r="B24" s="35">
        <v>1000000</v>
      </c>
    </row>
    <row r="25" spans="1:2" x14ac:dyDescent="0.3">
      <c r="A25" t="s">
        <v>7</v>
      </c>
      <c r="B25" s="35">
        <v>598030</v>
      </c>
    </row>
    <row r="26" spans="1:2" x14ac:dyDescent="0.3">
      <c r="B26" s="36">
        <f>SUM(B24:B25)</f>
        <v>1598030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Résumé des OPTIONS</vt:lpstr>
      <vt:lpstr>Feuil1</vt:lpstr>
      <vt:lpstr>Option 1</vt:lpstr>
      <vt:lpstr>Option 2</vt:lpstr>
      <vt:lpstr>Option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Stéphanie Émond</dc:creator>
  <cp:lastModifiedBy>Mathieu Meunier</cp:lastModifiedBy>
  <dcterms:created xsi:type="dcterms:W3CDTF">2024-04-15T17:10:47Z</dcterms:created>
  <dcterms:modified xsi:type="dcterms:W3CDTF">2024-06-04T17:30:27Z</dcterms:modified>
</cp:coreProperties>
</file>